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comer &amp; Busbar" sheetId="2" state="visible" r:id="rId4"/>
    <sheet name="Motor Feeder Sizing" sheetId="3" state="visible" r:id="rId5"/>
    <sheet name="Cable Ampacity Ref" sheetId="4" state="visible" r:id="rId6"/>
    <sheet name="Cost Estimation (BOM)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<sst xmlns="http://schemas.openxmlformats.org/spreadsheetml/2006/main" count="140" uniqueCount="121">
  <si>
    <t xml:space="preserve">MCC Panel Design &amp; Sizing Calculator</t>
  </si>
  <si>
    <t xml:space="preserve">This workbook accompanies the 'MCC Panel Design Guide (IEC Standards)'.</t>
  </si>
  <si>
    <t xml:space="preserve">It provides working calculators for incomer sizing, motor feeder sizing, busbar sizing,</t>
  </si>
  <si>
    <t xml:space="preserve">and a cost estimation BOM, built on IEC 60947, IEC 61439-1/2 and IEC 60364-5-52 principles.</t>
  </si>
  <si>
    <t xml:space="preserve">How to use this workbook:</t>
  </si>
  <si>
    <t xml:space="preserve">1. Go to 'Incomer &amp; Busbar' - enter total connected load, voltage, PF and diversity factor.</t>
  </si>
  <si>
    <t xml:space="preserve">2. Go to 'Motor Feeder Sizing' - enter each motor's nameplate data in the blue input cells.</t>
  </si>
  <si>
    <t xml:space="preserve">3. Check 'Cable Ampacity Ref' for the reference table used by the lookup formulas.</t>
  </si>
  <si>
    <t xml:space="preserve">4. Go to 'Cost Estimation (BOM)' - enter quantities and unit rates for a budgetary cost.</t>
  </si>
  <si>
    <t xml:space="preserve">Colour code:</t>
  </si>
  <si>
    <t xml:space="preserve">  Blue text   = input cell (edit these)</t>
  </si>
  <si>
    <t xml:space="preserve">  Black text  = calculated (formula - do not overwrite)</t>
  </si>
  <si>
    <t xml:space="preserve">  Yellow fill = key assumption to review before finalising</t>
  </si>
  <si>
    <t xml:space="preserve">IMPORTANT - Engineering Disclaimer:</t>
  </si>
  <si>
    <t xml:space="preserve">This spreadsheet provides preliminary, budgetary sizing only. It is not a substitute for</t>
  </si>
  <si>
    <t xml:space="preserve">a detailed engineering study, protection coordination (discrimination) study, arc-flash</t>
  </si>
  <si>
    <t xml:space="preserve">assessment, or short-circuit withstand verification. All final MCC designs must be</t>
  </si>
  <si>
    <t xml:space="preserve">reviewed and certified by a licensed electrical engineer and checked against the project's</t>
  </si>
  <si>
    <t xml:space="preserve">governing standard (IEC 61439-1/2, local wiring regulations, and utility requirements)</t>
  </si>
  <si>
    <t xml:space="preserve">before manufacture, energisation, or use.</t>
  </si>
  <si>
    <t xml:space="preserve">Incomer &amp; Busbar Sizing Calculator</t>
  </si>
  <si>
    <t xml:space="preserve">INPUTS</t>
  </si>
  <si>
    <t xml:space="preserve">Total connected load</t>
  </si>
  <si>
    <t xml:space="preserve">kW</t>
  </si>
  <si>
    <t xml:space="preserve">Sum of all motor and load nameplate ratings</t>
  </si>
  <si>
    <t xml:space="preserve">System voltage (line-line)</t>
  </si>
  <si>
    <t xml:space="preserve">V</t>
  </si>
  <si>
    <t xml:space="preserve">Typically 400/415V (IEC) 3-phase</t>
  </si>
  <si>
    <t xml:space="preserve">Average power factor</t>
  </si>
  <si>
    <t xml:space="preserve">-</t>
  </si>
  <si>
    <t xml:space="preserve">Assumed system PF after correction</t>
  </si>
  <si>
    <t xml:space="preserve">Average efficiency</t>
  </si>
  <si>
    <t xml:space="preserve">Assumed average motor/load efficiency</t>
  </si>
  <si>
    <t xml:space="preserve">Diversity / demand factor</t>
  </si>
  <si>
    <t xml:space="preserve">IEC 61439 Annex D typical 0.7-0.9 for MCC</t>
  </si>
  <si>
    <t xml:space="preserve">Ambient design temperature</t>
  </si>
  <si>
    <t xml:space="preserve">deg C</t>
  </si>
  <si>
    <t xml:space="preserve">IEC 60947 reference temp is 40 deg C</t>
  </si>
  <si>
    <t xml:space="preserve">Busbar current density (Cu, air-insulated)</t>
  </si>
  <si>
    <t xml:space="preserve">A/mm2</t>
  </si>
  <si>
    <t xml:space="preserve">Typical 1.2-1.6 A/mm2 for enclosed Cu busbar</t>
  </si>
  <si>
    <t xml:space="preserve">CALCULATED RESULTS</t>
  </si>
  <si>
    <t xml:space="preserve">Full load current (3-phase)</t>
  </si>
  <si>
    <t xml:space="preserve">A</t>
  </si>
  <si>
    <t xml:space="preserve">Design (diversified) current, Id</t>
  </si>
  <si>
    <t xml:space="preserve">Recommended incomer breaker (ACB/MCCB) rating</t>
  </si>
  <si>
    <t xml:space="preserve">A (standard frame)</t>
  </si>
  <si>
    <t xml:space="preserve">Required busbar cross-section (per phase)</t>
  </si>
  <si>
    <t xml:space="preserve">mm2</t>
  </si>
  <si>
    <t xml:space="preserve">Note: Breaker rating is picked from the standard IEC 60947-2 frame steps above the 1.25x design current. Verify short-circuit withstand (Icu/Ics) and discrimination separately.</t>
  </si>
  <si>
    <t xml:space="preserve">Busbar cross-section must be split across the number of parallel bars actually used and rounded up to the next standard busbar size (see manufacturer tables).</t>
  </si>
  <si>
    <t xml:space="preserve">Motor Feeder Sizing Calculator (per IEC 60947-4-1)</t>
  </si>
  <si>
    <t xml:space="preserve">Motor Tag</t>
  </si>
  <si>
    <t xml:space="preserve">Rated Power (kW)</t>
  </si>
  <si>
    <t xml:space="preserve">Voltage (V)</t>
  </si>
  <si>
    <t xml:space="preserve">Efficiency</t>
  </si>
  <si>
    <t xml:space="preserve">Power Factor</t>
  </si>
  <si>
    <t xml:space="preserve">Service Factor</t>
  </si>
  <si>
    <t xml:space="preserve">FLC (A)</t>
  </si>
  <si>
    <t xml:space="preserve">Starting Method</t>
  </si>
  <si>
    <t xml:space="preserve">Cable Size (mm2)</t>
  </si>
  <si>
    <t xml:space="preserve">Contactor Rating (A)</t>
  </si>
  <si>
    <t xml:space="preserve">Overload Min (A)</t>
  </si>
  <si>
    <t xml:space="preserve">Overload Max (A)</t>
  </si>
  <si>
    <t xml:space="preserve">MCCB / MPCB Rating (A)</t>
  </si>
  <si>
    <t xml:space="preserve">M-101 Cooling Water Pump</t>
  </si>
  <si>
    <t xml:space="preserve">DOL</t>
  </si>
  <si>
    <t xml:space="preserve">M-102 Compressor</t>
  </si>
  <si>
    <t xml:space="preserve">Star-Delta</t>
  </si>
  <si>
    <t xml:space="preserve">M-103 Conveyor Drive</t>
  </si>
  <si>
    <t xml:space="preserve">M-104 Fan</t>
  </si>
  <si>
    <t xml:space="preserve">VFD</t>
  </si>
  <si>
    <t xml:space="preserve">FLC = P(kW)x1000 / (SQRT3 x V x Eff x PF). Overload band shown is typical 105-120% FLC (Class 10/20); confirm against the specific overload relay's trip class and motor's service factor.</t>
  </si>
  <si>
    <t xml:space="preserve">MCCB/MPCB values assume standard DOL/Star-Delta motor protection multipliers; VFD-fed motors use an input-side breaker sized off the drive's rated input current, not the motor FLC alone - always check the VFD manufacturer's datasheet.</t>
  </si>
  <si>
    <t xml:space="preserve">Cable Ampacity Reference (IEC 60364-5-52, Cu, PVC/XLPE, single circuit in air, 30 deg C ambient)</t>
  </si>
  <si>
    <t xml:space="preserve">Approx. Ampacity (A)</t>
  </si>
  <si>
    <t xml:space="preserve">Typical Use</t>
  </si>
  <si>
    <t xml:space="preserve">Notes</t>
  </si>
  <si>
    <t xml:space="preserve">Control wiring, indication circuits</t>
  </si>
  <si>
    <t xml:space="preserve">Min practical power size 2.5mm2</t>
  </si>
  <si>
    <t xml:space="preserve">Small loads, lighting</t>
  </si>
  <si>
    <t xml:space="preserve">Small motors up to approx 5.5kW</t>
  </si>
  <si>
    <t xml:space="preserve">Motors up to approx 7.5kW</t>
  </si>
  <si>
    <t xml:space="preserve">Motors up to approx 15kW</t>
  </si>
  <si>
    <t xml:space="preserve">Motors up to approx 22kW</t>
  </si>
  <si>
    <t xml:space="preserve">Motors up to approx 37kW</t>
  </si>
  <si>
    <t xml:space="preserve">Motors up to approx 45kW</t>
  </si>
  <si>
    <t xml:space="preserve">Motors up to approx 55-75kW</t>
  </si>
  <si>
    <t xml:space="preserve">Motors up to approx 90kW</t>
  </si>
  <si>
    <t xml:space="preserve">Motors up to approx 110kW</t>
  </si>
  <si>
    <t xml:space="preserve">Motors up to approx 132kW</t>
  </si>
  <si>
    <t xml:space="preserve">Motors up to approx 160kW</t>
  </si>
  <si>
    <t xml:space="preserve">Motors up to approx 200kW</t>
  </si>
  <si>
    <t xml:space="preserve">Feeders / large motors</t>
  </si>
  <si>
    <t xml:space="preserve">Main feeders</t>
  </si>
  <si>
    <t xml:space="preserve">Values are indicative, derated for 30 deg C ambient, single circuit in free air, PVC/XLPE insulation. Always verify against IEC 60364-5-52 Tables B.52.2-B.52.10 with the project's actual installation method, grouping and ambient/derating factors.</t>
  </si>
  <si>
    <t xml:space="preserve">MCC Panel Budgetary Cost Estimation (BOM)</t>
  </si>
  <si>
    <t xml:space="preserve">Item / Component</t>
  </si>
  <si>
    <t xml:space="preserve">Qty</t>
  </si>
  <si>
    <t xml:space="preserve">Unit Rate</t>
  </si>
  <si>
    <t xml:space="preserve">Currency</t>
  </si>
  <si>
    <t xml:space="preserve">Total</t>
  </si>
  <si>
    <t xml:space="preserve">Enclosure (form 3b/4, IP54, powder-coated), per vertical section</t>
  </si>
  <si>
    <t xml:space="preserve">USD</t>
  </si>
  <si>
    <t xml:space="preserve">Main incomer ACB/MCCB (per Sheet 2 sizing) + accessories</t>
  </si>
  <si>
    <t xml:space="preserve">Motor feeder MCCB/MPCB</t>
  </si>
  <si>
    <t xml:space="preserve">Contactor + overload relay set</t>
  </si>
  <si>
    <t xml:space="preserve">Busbar system (Cu, TPN, per sizing above)</t>
  </si>
  <si>
    <t xml:space="preserve">Control transformer + protection</t>
  </si>
  <si>
    <t xml:space="preserve">Metering (ammeter/voltmeter/CTs) per section</t>
  </si>
  <si>
    <t xml:space="preserve">Indication lamps, selector switches, push buttons</t>
  </si>
  <si>
    <t xml:space="preserve">PLC/RTU I/O modules (if SCADA integrated)</t>
  </si>
  <si>
    <t xml:space="preserve">Internal wiring, ferrules, terminals, trunking</t>
  </si>
  <si>
    <t xml:space="preserve">Engineering, drawings, FAT documentation</t>
  </si>
  <si>
    <t xml:space="preserve">Factory Acceptance Test (FAT)</t>
  </si>
  <si>
    <t xml:space="preserve">Transportation &amp; insurance</t>
  </si>
  <si>
    <t xml:space="preserve">Installation &amp; commissioning (site)</t>
  </si>
  <si>
    <t xml:space="preserve">Subtotal</t>
  </si>
  <si>
    <t xml:space="preserve">Contingency (10%)</t>
  </si>
  <si>
    <t xml:space="preserve">GRAND TOTAL (budgetary)</t>
  </si>
  <si>
    <t xml:space="preserve">Unit rates are placeholders - replace with actual vendor quotations. This BOM excludes site civil works, cable trays/ducting, and local taxes/duties unless added as separate line items.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</si>
</sst>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b val="true"/>
      <sz val="12"/>
      <color rgb="FF1F3864"/>
      <name val="Cambria"/>
      <family val="0"/>
      <charset val="1"/>
    </font>
    <font>
      <sz val="11"/>
      <color rgb="FF0000FF"/>
      <name val="Calibri"/>
      <family val="0"/>
      <charset val="1"/>
    </font>
    <font>
      <i val="true"/>
      <sz val="9"/>
      <color rgb="FF80808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99"/>
        <bgColor rgb="FFFFFFCC"/>
      </patternFill>
    </fill>
    <fill>
      <patternFill patternType="solid">
        <fgColor rgb="FFD9E2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0" t="s">
        <v>1</v>
      </c>
    </row>
    <row r="4" customFormat="false" ht="15" hidden="false" customHeight="false" outlineLevel="0" collapsed="false">
      <c r="A4" s="0" t="s">
        <v>2</v>
      </c>
    </row>
    <row r="5" customFormat="false" ht="15" hidden="false" customHeight="false" outlineLevel="0" collapsed="false">
      <c r="A5" s="0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0" t="s">
        <v>5</v>
      </c>
    </row>
    <row r="9" customFormat="false" ht="15" hidden="false" customHeight="false" outlineLevel="0" collapsed="false">
      <c r="A9" s="0" t="s">
        <v>6</v>
      </c>
    </row>
    <row r="10" customFormat="false" ht="15" hidden="false" customHeight="false" outlineLevel="0" collapsed="false">
      <c r="A10" s="0" t="s">
        <v>7</v>
      </c>
    </row>
    <row r="11" customFormat="false" ht="15" hidden="false" customHeight="false" outlineLevel="0" collapsed="false">
      <c r="A11" s="0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0" t="s">
        <v>10</v>
      </c>
    </row>
    <row r="15" customFormat="false" ht="15" hidden="false" customHeight="false" outlineLevel="0" collapsed="false">
      <c r="A15" s="0" t="s">
        <v>11</v>
      </c>
    </row>
    <row r="16" customFormat="false" ht="15" hidden="false" customHeight="false" outlineLevel="0" collapsed="false">
      <c r="A16" s="0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0" t="s">
        <v>13</v>
      </c>
    </row>
    <row r="19" customFormat="false" ht="15" hidden="false" customHeight="false" outlineLevel="0" collapsed="false">
      <c r="A19" s="0" t="s">
        <v>14</v>
      </c>
    </row>
    <row r="20" customFormat="false" ht="15" hidden="false" customHeight="false" outlineLevel="0" collapsed="false">
      <c r="A20" s="0" t="s">
        <v>15</v>
      </c>
    </row>
    <row r="21" customFormat="false" ht="15" hidden="false" customHeight="false" outlineLevel="0" collapsed="false">
      <c r="A21" s="0" t="s">
        <v>16</v>
      </c>
    </row>
    <row r="22" customFormat="false" ht="15" hidden="false" customHeight="false" outlineLevel="0" collapsed="false">
      <c r="A22" s="0" t="s">
        <v>17</v>
      </c>
    </row>
    <row r="23" customFormat="false" ht="15" hidden="false" customHeight="false" outlineLevel="0" collapsed="false">
      <c r="A23" s="0" t="s">
        <v>18</v>
      </c>
    </row>
    <row r="24" customFormat="false" ht="15" hidden="false" customHeight="false" outlineLevel="0" collapsed="false">
      <c r="A24" s="0" t="s">
        <v>19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40"/>
  </cols>
  <sheetData>
    <row r="1" customFormat="false" ht="27.75" hidden="false" customHeight="true" outlineLevel="0" collapsed="false">
      <c r="A1" s="1" t="s">
        <v>20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4" t="s">
        <v>21</v>
      </c>
    </row>
    <row r="4" customFormat="false" ht="15" hidden="false" customHeight="false" outlineLevel="0" collapsed="false">
      <c r="A4" s="0" t="s">
        <v>22</v>
      </c>
      <c r="B4" s="5" t="n">
        <v>350</v>
      </c>
      <c r="C4" s="6" t="s">
        <v>23</v>
      </c>
      <c r="D4" s="6" t="s">
        <v>24</v>
      </c>
    </row>
    <row r="5" customFormat="false" ht="15" hidden="false" customHeight="false" outlineLevel="0" collapsed="false">
      <c r="A5" s="0" t="s">
        <v>25</v>
      </c>
      <c r="B5" s="5" t="n">
        <v>415</v>
      </c>
      <c r="C5" s="6" t="s">
        <v>26</v>
      </c>
      <c r="D5" s="6" t="s">
        <v>27</v>
      </c>
    </row>
    <row r="6" customFormat="false" ht="15" hidden="false" customHeight="false" outlineLevel="0" collapsed="false">
      <c r="A6" s="0" t="s">
        <v>28</v>
      </c>
      <c r="B6" s="5" t="n">
        <v>0.85</v>
      </c>
      <c r="C6" s="6" t="s">
        <v>29</v>
      </c>
      <c r="D6" s="6" t="s">
        <v>30</v>
      </c>
    </row>
    <row r="7" customFormat="false" ht="15" hidden="false" customHeight="false" outlineLevel="0" collapsed="false">
      <c r="A7" s="0" t="s">
        <v>31</v>
      </c>
      <c r="B7" s="5" t="n">
        <v>0.92</v>
      </c>
      <c r="C7" s="6" t="s">
        <v>29</v>
      </c>
      <c r="D7" s="6" t="s">
        <v>32</v>
      </c>
    </row>
    <row r="8" customFormat="false" ht="15" hidden="false" customHeight="false" outlineLevel="0" collapsed="false">
      <c r="A8" s="0" t="s">
        <v>33</v>
      </c>
      <c r="B8" s="5" t="n">
        <v>0.8</v>
      </c>
      <c r="C8" s="6" t="s">
        <v>29</v>
      </c>
      <c r="D8" s="6" t="s">
        <v>34</v>
      </c>
    </row>
    <row r="9" customFormat="false" ht="15" hidden="false" customHeight="false" outlineLevel="0" collapsed="false">
      <c r="A9" s="0" t="s">
        <v>35</v>
      </c>
      <c r="B9" s="5" t="n">
        <v>40</v>
      </c>
      <c r="C9" s="6" t="s">
        <v>36</v>
      </c>
      <c r="D9" s="6" t="s">
        <v>37</v>
      </c>
    </row>
    <row r="10" customFormat="false" ht="15" hidden="false" customHeight="false" outlineLevel="0" collapsed="false">
      <c r="A10" s="0" t="s">
        <v>38</v>
      </c>
      <c r="B10" s="5" t="n">
        <v>1.6</v>
      </c>
      <c r="C10" s="6" t="s">
        <v>39</v>
      </c>
      <c r="D10" s="6" t="s">
        <v>40</v>
      </c>
    </row>
    <row r="12" customFormat="false" ht="15" hidden="false" customHeight="false" outlineLevel="0" collapsed="false">
      <c r="A12" s="4" t="s">
        <v>41</v>
      </c>
    </row>
    <row r="13" customFormat="false" ht="15" hidden="false" customHeight="false" outlineLevel="0" collapsed="false">
      <c r="A13" s="0" t="s">
        <v>42</v>
      </c>
      <c r="B13" s="7" t="n">
        <f aca="false">(B4*1000)/(SQRT(3)*B5*B6*B7)</f>
        <v>622.662293829135</v>
      </c>
      <c r="C13" s="6" t="s">
        <v>43</v>
      </c>
    </row>
    <row r="14" customFormat="false" ht="15" hidden="false" customHeight="false" outlineLevel="0" collapsed="false">
      <c r="A14" s="0" t="s">
        <v>44</v>
      </c>
      <c r="B14" s="7" t="n">
        <f aca="false">B13*B8</f>
        <v>498.129835063308</v>
      </c>
      <c r="C14" s="6" t="s">
        <v>43</v>
      </c>
    </row>
    <row r="15" customFormat="false" ht="15" hidden="false" customHeight="false" outlineLevel="0" collapsed="false">
      <c r="A15" s="0" t="s">
        <v>45</v>
      </c>
      <c r="B15" s="7" t="n">
        <f aca="false">LOOKUP(B14*1.25,{0,63,100,160,250,400,630,800,1000,1250,1600,2000,2500,3200,4000},{63,100,160,250,400,630,800,1000,1250,1600,2000,2500,3200,4000,5000})</f>
        <v>630</v>
      </c>
      <c r="C15" s="6" t="s">
        <v>46</v>
      </c>
    </row>
    <row r="16" customFormat="false" ht="15" hidden="false" customHeight="false" outlineLevel="0" collapsed="false">
      <c r="A16" s="0" t="s">
        <v>47</v>
      </c>
      <c r="B16" s="7" t="n">
        <f aca="false">B14/B9</f>
        <v>12.4532458765827</v>
      </c>
      <c r="C16" s="6" t="s">
        <v>48</v>
      </c>
    </row>
    <row r="18" customFormat="false" ht="15" hidden="false" customHeight="false" outlineLevel="0" collapsed="false">
      <c r="A18" s="8" t="s">
        <v>49</v>
      </c>
      <c r="B18" s="8"/>
      <c r="C18" s="8"/>
      <c r="D18" s="8"/>
      <c r="E18" s="8"/>
      <c r="F18" s="8"/>
    </row>
    <row r="19" customFormat="false" ht="15" hidden="false" customHeight="false" outlineLevel="0" collapsed="false">
      <c r="A19" s="8" t="s">
        <v>50</v>
      </c>
      <c r="B19" s="8"/>
      <c r="C19" s="8"/>
      <c r="D19" s="8"/>
      <c r="E19" s="8"/>
      <c r="F19" s="8"/>
    </row>
  </sheetData>
  <mergeCells count="3">
    <mergeCell ref="A1:F1"/>
    <mergeCell ref="A18:F18"/>
    <mergeCell ref="A19:F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7" min="3" style="0" width="10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3" min="10" style="0" width="14"/>
  </cols>
  <sheetData>
    <row r="1" customFormat="false" ht="27.75" hidden="false" customHeight="true" outlineLevel="0" collapsed="false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28.35" hidden="false" customHeight="false" outlineLevel="0" collapsed="false">
      <c r="A2" s="9" t="s">
        <v>52</v>
      </c>
      <c r="B2" s="9" t="s">
        <v>53</v>
      </c>
      <c r="C2" s="9" t="s">
        <v>54</v>
      </c>
      <c r="D2" s="9" t="s">
        <v>55</v>
      </c>
      <c r="E2" s="9" t="s">
        <v>56</v>
      </c>
      <c r="F2" s="9" t="s">
        <v>57</v>
      </c>
      <c r="G2" s="9" t="s">
        <v>58</v>
      </c>
      <c r="H2" s="9" t="s">
        <v>59</v>
      </c>
      <c r="I2" s="9" t="s">
        <v>60</v>
      </c>
      <c r="J2" s="9" t="s">
        <v>61</v>
      </c>
      <c r="K2" s="9" t="s">
        <v>62</v>
      </c>
      <c r="L2" s="9" t="s">
        <v>63</v>
      </c>
      <c r="M2" s="9" t="s">
        <v>64</v>
      </c>
    </row>
    <row r="3" customFormat="false" ht="15" hidden="false" customHeight="false" outlineLevel="0" collapsed="false">
      <c r="A3" s="10" t="s">
        <v>65</v>
      </c>
      <c r="B3" s="5" t="n">
        <v>37</v>
      </c>
      <c r="C3" s="5" t="n">
        <v>415</v>
      </c>
      <c r="D3" s="5" t="n">
        <v>0.92</v>
      </c>
      <c r="E3" s="5" t="n">
        <v>0.86</v>
      </c>
      <c r="F3" s="5" t="n">
        <v>1.15</v>
      </c>
      <c r="G3" s="10" t="n">
        <f aca="false">(B3*1000)/(SQRT(3)*C3*D3*E3)</f>
        <v>65.0589008004195</v>
      </c>
      <c r="H3" s="5" t="s">
        <v>66</v>
      </c>
      <c r="I3" s="10" t="n">
        <f aca="false">INDEX('Cable Ampacity Ref'!$A$3:$A$20,MATCH(G3*F3,'Cable Ampacity Ref'!$B$3:$B$20,1))</f>
        <v>10</v>
      </c>
      <c r="J3" s="10" t="n">
        <f aca="false">LOOKUP(G3*F3,{0,9,12,18,25,32,38,45,60,80,95,115,150,185,225,300,400,500,630},{9,12,18,25,32,38,45,60,80,95,115,150,185,225,300,400,500,630,800})</f>
        <v>80</v>
      </c>
      <c r="K3" s="10" t="n">
        <f aca="false">G3*1.05</f>
        <v>68.3118458404405</v>
      </c>
      <c r="L3" s="10" t="n">
        <f aca="false">G3*1.2</f>
        <v>78.0706809605034</v>
      </c>
      <c r="M3" s="10" t="n">
        <f aca="false">IF(H3="VFD",ROUNDUP(G3*1.1,0),LOOKUP(G3*F3*1.25,{0,16,20,25,32,40,50,63,80,100,125,160,200,250},{16,20,25,32,40,50,63,80,100,125,160,200,250,320}))</f>
        <v>100</v>
      </c>
    </row>
    <row r="4" customFormat="false" ht="15" hidden="false" customHeight="false" outlineLevel="0" collapsed="false">
      <c r="A4" s="10" t="s">
        <v>67</v>
      </c>
      <c r="B4" s="5" t="n">
        <v>90</v>
      </c>
      <c r="C4" s="5" t="n">
        <v>415</v>
      </c>
      <c r="D4" s="5" t="n">
        <v>0.94</v>
      </c>
      <c r="E4" s="5" t="n">
        <v>0.87</v>
      </c>
      <c r="F4" s="5" t="n">
        <v>1.15</v>
      </c>
      <c r="G4" s="10" t="n">
        <f aca="false">(B4*1000)/(SQRT(3)*C4*D4*E4)</f>
        <v>153.104050028629</v>
      </c>
      <c r="H4" s="5" t="s">
        <v>68</v>
      </c>
      <c r="I4" s="10" t="n">
        <f aca="false">INDEX('Cable Ampacity Ref'!$A$3:$A$20,MATCH(G4*F4,'Cable Ampacity Ref'!$B$3:$B$20,1))</f>
        <v>50</v>
      </c>
      <c r="J4" s="10" t="n">
        <f aca="false">LOOKUP(G4*F4,{0,9,12,18,25,32,38,45,60,80,95,115,150,185,225,300,400,500,630},{9,12,18,25,32,38,45,60,80,95,115,150,185,225,300,400,500,630,800})</f>
        <v>185</v>
      </c>
      <c r="K4" s="10" t="n">
        <f aca="false">G4*1.05</f>
        <v>160.75925253006</v>
      </c>
      <c r="L4" s="10" t="n">
        <f aca="false">G4*1.2</f>
        <v>183.724860034355</v>
      </c>
      <c r="M4" s="10" t="n">
        <f aca="false">IF(H4="VFD",ROUNDUP(G4*1.1,0),LOOKUP(G4*F4*1.25,{0,16,20,25,32,40,50,63,80,100,125,160,200,250},{16,20,25,32,40,50,63,80,100,125,160,200,250,320}))</f>
        <v>250</v>
      </c>
    </row>
    <row r="5" customFormat="false" ht="15" hidden="false" customHeight="false" outlineLevel="0" collapsed="false">
      <c r="A5" s="10" t="s">
        <v>69</v>
      </c>
      <c r="B5" s="5" t="n">
        <v>15</v>
      </c>
      <c r="C5" s="5" t="n">
        <v>415</v>
      </c>
      <c r="D5" s="5" t="n">
        <v>0.9</v>
      </c>
      <c r="E5" s="5" t="n">
        <v>0.83</v>
      </c>
      <c r="F5" s="5" t="n">
        <v>1.15</v>
      </c>
      <c r="G5" s="10" t="n">
        <f aca="false">(B5*1000)/(SQRT(3)*C5*D5*E5)</f>
        <v>27.9358527696146</v>
      </c>
      <c r="H5" s="5" t="s">
        <v>66</v>
      </c>
      <c r="I5" s="10" t="n">
        <f aca="false">INDEX('Cable Ampacity Ref'!$A$3:$A$20,MATCH(G5*F5,'Cable Ampacity Ref'!$B$3:$B$20,1))</f>
        <v>2.5</v>
      </c>
      <c r="J5" s="10" t="n">
        <f aca="false">LOOKUP(G5*F5,{0,9,12,18,25,32,38,45,60,80,95,115,150,185,225,300,400,500,630},{9,12,18,25,32,38,45,60,80,95,115,150,185,225,300,400,500,630,800})</f>
        <v>38</v>
      </c>
      <c r="K5" s="10" t="n">
        <f aca="false">G5*1.05</f>
        <v>29.3326454080954</v>
      </c>
      <c r="L5" s="10" t="n">
        <f aca="false">G5*1.2</f>
        <v>33.5230233235376</v>
      </c>
      <c r="M5" s="10" t="n">
        <f aca="false">IF(H5="VFD",ROUNDUP(G5*1.1,0),LOOKUP(G5*F5*1.25,{0,16,20,25,32,40,50,63,80,100,125,160,200,250},{16,20,25,32,40,50,63,80,100,125,160,200,250,320}))</f>
        <v>50</v>
      </c>
    </row>
    <row r="6" customFormat="false" ht="15" hidden="false" customHeight="false" outlineLevel="0" collapsed="false">
      <c r="A6" s="10" t="s">
        <v>70</v>
      </c>
      <c r="B6" s="5" t="n">
        <v>22</v>
      </c>
      <c r="C6" s="5" t="n">
        <v>415</v>
      </c>
      <c r="D6" s="5" t="n">
        <v>0.91</v>
      </c>
      <c r="E6" s="5" t="n">
        <v>0.85</v>
      </c>
      <c r="F6" s="5" t="n">
        <v>1.15</v>
      </c>
      <c r="G6" s="10" t="n">
        <f aca="false">(B6*1000)/(SQRT(3)*C6*D6*E6)</f>
        <v>39.568869158875</v>
      </c>
      <c r="H6" s="5" t="s">
        <v>71</v>
      </c>
      <c r="I6" s="10" t="n">
        <f aca="false">INDEX('Cable Ampacity Ref'!$A$3:$A$20,MATCH(G6*F6,'Cable Ampacity Ref'!$B$3:$B$20,1))</f>
        <v>4</v>
      </c>
      <c r="J6" s="10" t="n">
        <f aca="false">LOOKUP(G6*F6,{0,9,12,18,25,32,38,45,60,80,95,115,150,185,225,300,400,500,630},{9,12,18,25,32,38,45,60,80,95,115,150,185,225,300,400,500,630,800})</f>
        <v>60</v>
      </c>
      <c r="K6" s="10" t="n">
        <f aca="false">G6*1.05</f>
        <v>41.5473126168187</v>
      </c>
      <c r="L6" s="10" t="n">
        <f aca="false">G6*1.2</f>
        <v>47.48264299065</v>
      </c>
      <c r="M6" s="10" t="n">
        <f aca="false">IF(H6="VFD",ROUNDUP(G6*1.1,0),LOOKUP(G6*F6*1.25,{0,16,20,25,32,40,50,63,80,100,125,160,200,250},{16,20,25,32,40,50,63,80,100,125,160,200,250,320}))</f>
        <v>44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4" customFormat="false" ht="15" hidden="false" customHeight="false" outlineLevel="0" collapsed="false">
      <c r="A14" s="8" t="s">
        <v>72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customFormat="false" ht="15" hidden="false" customHeight="false" outlineLevel="0" collapsed="false">
      <c r="A15" s="8" t="s">
        <v>73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</sheetData>
  <mergeCells count="3">
    <mergeCell ref="A1:M1"/>
    <mergeCell ref="A14:M14"/>
    <mergeCell ref="A15:M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4" min="3" style="0" width="40"/>
  </cols>
  <sheetData>
    <row r="1" customFormat="false" ht="27.75" hidden="false" customHeight="true" outlineLevel="0" collapsed="false">
      <c r="A1" s="1" t="s">
        <v>74</v>
      </c>
      <c r="B1" s="1"/>
      <c r="C1" s="1"/>
      <c r="D1" s="1"/>
    </row>
    <row r="2" customFormat="false" ht="15" hidden="false" customHeight="false" outlineLevel="0" collapsed="false">
      <c r="A2" s="9" t="s">
        <v>60</v>
      </c>
      <c r="B2" s="9" t="s">
        <v>75</v>
      </c>
      <c r="C2" s="9" t="s">
        <v>76</v>
      </c>
      <c r="D2" s="9" t="s">
        <v>77</v>
      </c>
    </row>
    <row r="3" customFormat="false" ht="15" hidden="false" customHeight="false" outlineLevel="0" collapsed="false">
      <c r="A3" s="10" t="n">
        <v>1.5</v>
      </c>
      <c r="B3" s="10" t="n">
        <v>19.5</v>
      </c>
      <c r="C3" s="10" t="s">
        <v>78</v>
      </c>
      <c r="D3" s="10" t="s">
        <v>79</v>
      </c>
    </row>
    <row r="4" customFormat="false" ht="15" hidden="false" customHeight="false" outlineLevel="0" collapsed="false">
      <c r="A4" s="10" t="n">
        <v>2.5</v>
      </c>
      <c r="B4" s="10" t="n">
        <v>27</v>
      </c>
      <c r="C4" s="10" t="s">
        <v>80</v>
      </c>
      <c r="D4" s="10"/>
    </row>
    <row r="5" customFormat="false" ht="15" hidden="false" customHeight="false" outlineLevel="0" collapsed="false">
      <c r="A5" s="10" t="n">
        <v>4</v>
      </c>
      <c r="B5" s="10" t="n">
        <v>36</v>
      </c>
      <c r="C5" s="10" t="s">
        <v>81</v>
      </c>
      <c r="D5" s="10"/>
    </row>
    <row r="6" customFormat="false" ht="15" hidden="false" customHeight="false" outlineLevel="0" collapsed="false">
      <c r="A6" s="10" t="n">
        <v>6</v>
      </c>
      <c r="B6" s="10" t="n">
        <v>46</v>
      </c>
      <c r="C6" s="10" t="s">
        <v>82</v>
      </c>
      <c r="D6" s="10"/>
    </row>
    <row r="7" customFormat="false" ht="15" hidden="false" customHeight="false" outlineLevel="0" collapsed="false">
      <c r="A7" s="10" t="n">
        <v>10</v>
      </c>
      <c r="B7" s="10" t="n">
        <v>63</v>
      </c>
      <c r="C7" s="10" t="s">
        <v>83</v>
      </c>
      <c r="D7" s="10"/>
    </row>
    <row r="8" customFormat="false" ht="15" hidden="false" customHeight="false" outlineLevel="0" collapsed="false">
      <c r="A8" s="10" t="n">
        <v>16</v>
      </c>
      <c r="B8" s="10" t="n">
        <v>85</v>
      </c>
      <c r="C8" s="10" t="s">
        <v>84</v>
      </c>
      <c r="D8" s="10"/>
    </row>
    <row r="9" customFormat="false" ht="15" hidden="false" customHeight="false" outlineLevel="0" collapsed="false">
      <c r="A9" s="10" t="n">
        <v>25</v>
      </c>
      <c r="B9" s="10" t="n">
        <v>110</v>
      </c>
      <c r="C9" s="10" t="s">
        <v>85</v>
      </c>
      <c r="D9" s="10"/>
    </row>
    <row r="10" customFormat="false" ht="15" hidden="false" customHeight="false" outlineLevel="0" collapsed="false">
      <c r="A10" s="10" t="n">
        <v>35</v>
      </c>
      <c r="B10" s="10" t="n">
        <v>137</v>
      </c>
      <c r="C10" s="10" t="s">
        <v>86</v>
      </c>
      <c r="D10" s="10"/>
    </row>
    <row r="11" customFormat="false" ht="15" hidden="false" customHeight="false" outlineLevel="0" collapsed="false">
      <c r="A11" s="10" t="n">
        <v>50</v>
      </c>
      <c r="B11" s="10" t="n">
        <v>167</v>
      </c>
      <c r="C11" s="10" t="s">
        <v>87</v>
      </c>
      <c r="D11" s="10"/>
    </row>
    <row r="12" customFormat="false" ht="15" hidden="false" customHeight="false" outlineLevel="0" collapsed="false">
      <c r="A12" s="10" t="n">
        <v>70</v>
      </c>
      <c r="B12" s="10" t="n">
        <v>213</v>
      </c>
      <c r="C12" s="10" t="s">
        <v>88</v>
      </c>
      <c r="D12" s="10"/>
    </row>
    <row r="13" customFormat="false" ht="15" hidden="false" customHeight="false" outlineLevel="0" collapsed="false">
      <c r="A13" s="10" t="n">
        <v>95</v>
      </c>
      <c r="B13" s="10" t="n">
        <v>258</v>
      </c>
      <c r="C13" s="10" t="s">
        <v>89</v>
      </c>
      <c r="D13" s="10"/>
    </row>
    <row r="14" customFormat="false" ht="15" hidden="false" customHeight="false" outlineLevel="0" collapsed="false">
      <c r="A14" s="10" t="n">
        <v>120</v>
      </c>
      <c r="B14" s="10" t="n">
        <v>299</v>
      </c>
      <c r="C14" s="10" t="s">
        <v>90</v>
      </c>
      <c r="D14" s="10"/>
    </row>
    <row r="15" customFormat="false" ht="15" hidden="false" customHeight="false" outlineLevel="0" collapsed="false">
      <c r="A15" s="10" t="n">
        <v>150</v>
      </c>
      <c r="B15" s="10" t="n">
        <v>344</v>
      </c>
      <c r="C15" s="10" t="s">
        <v>91</v>
      </c>
      <c r="D15" s="10"/>
    </row>
    <row r="16" customFormat="false" ht="15" hidden="false" customHeight="false" outlineLevel="0" collapsed="false">
      <c r="A16" s="10" t="n">
        <v>185</v>
      </c>
      <c r="B16" s="10" t="n">
        <v>392</v>
      </c>
      <c r="C16" s="10" t="s">
        <v>92</v>
      </c>
      <c r="D16" s="10"/>
    </row>
    <row r="17" customFormat="false" ht="15" hidden="false" customHeight="false" outlineLevel="0" collapsed="false">
      <c r="A17" s="10" t="n">
        <v>240</v>
      </c>
      <c r="B17" s="10" t="n">
        <v>461</v>
      </c>
      <c r="C17" s="10" t="s">
        <v>93</v>
      </c>
      <c r="D17" s="10"/>
    </row>
    <row r="18" customFormat="false" ht="15" hidden="false" customHeight="false" outlineLevel="0" collapsed="false">
      <c r="A18" s="10" t="n">
        <v>300</v>
      </c>
      <c r="B18" s="10" t="n">
        <v>530</v>
      </c>
      <c r="C18" s="10" t="s">
        <v>94</v>
      </c>
      <c r="D18" s="10"/>
    </row>
    <row r="20" customFormat="false" ht="15" hidden="false" customHeight="false" outlineLevel="0" collapsed="false">
      <c r="A20" s="8" t="s">
        <v>95</v>
      </c>
      <c r="B20" s="8"/>
      <c r="C20" s="8"/>
      <c r="D20" s="8"/>
    </row>
  </sheetData>
  <mergeCells count="2">
    <mergeCell ref="A1:D1"/>
    <mergeCell ref="A20:D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6"/>
  </cols>
  <sheetData>
    <row r="1" customFormat="false" ht="27.75" hidden="false" customHeight="true" outlineLevel="0" collapsed="false">
      <c r="A1" s="1" t="s">
        <v>96</v>
      </c>
      <c r="B1" s="1"/>
      <c r="C1" s="1"/>
      <c r="D1" s="1"/>
      <c r="E1" s="1"/>
    </row>
    <row r="2" customFormat="false" ht="15" hidden="false" customHeight="false" outlineLevel="0" collapsed="false">
      <c r="A2" s="9" t="s">
        <v>97</v>
      </c>
      <c r="B2" s="9" t="s">
        <v>98</v>
      </c>
      <c r="C2" s="9" t="s">
        <v>99</v>
      </c>
      <c r="D2" s="9" t="s">
        <v>100</v>
      </c>
      <c r="E2" s="9" t="s">
        <v>101</v>
      </c>
    </row>
    <row r="3" customFormat="false" ht="15" hidden="false" customHeight="false" outlineLevel="0" collapsed="false">
      <c r="A3" s="10" t="s">
        <v>102</v>
      </c>
      <c r="B3" s="5" t="n">
        <v>4</v>
      </c>
      <c r="C3" s="5" t="n">
        <v>1200</v>
      </c>
      <c r="D3" s="10" t="s">
        <v>103</v>
      </c>
      <c r="E3" s="10" t="n">
        <f aca="false">B3*C3</f>
        <v>4800</v>
      </c>
    </row>
    <row r="4" customFormat="false" ht="15" hidden="false" customHeight="false" outlineLevel="0" collapsed="false">
      <c r="A4" s="10" t="s">
        <v>104</v>
      </c>
      <c r="B4" s="5" t="n">
        <v>1</v>
      </c>
      <c r="C4" s="5" t="n">
        <v>3500</v>
      </c>
      <c r="D4" s="10" t="s">
        <v>103</v>
      </c>
      <c r="E4" s="10" t="n">
        <f aca="false">B4*C4</f>
        <v>3500</v>
      </c>
    </row>
    <row r="5" customFormat="false" ht="15" hidden="false" customHeight="false" outlineLevel="0" collapsed="false">
      <c r="A5" s="10" t="s">
        <v>105</v>
      </c>
      <c r="B5" s="5" t="n">
        <v>8</v>
      </c>
      <c r="C5" s="5" t="n">
        <v>220</v>
      </c>
      <c r="D5" s="10" t="s">
        <v>103</v>
      </c>
      <c r="E5" s="10" t="n">
        <f aca="false">B5*C5</f>
        <v>1760</v>
      </c>
    </row>
    <row r="6" customFormat="false" ht="15" hidden="false" customHeight="false" outlineLevel="0" collapsed="false">
      <c r="A6" s="10" t="s">
        <v>106</v>
      </c>
      <c r="B6" s="5" t="n">
        <v>8</v>
      </c>
      <c r="C6" s="5" t="n">
        <v>180</v>
      </c>
      <c r="D6" s="10" t="s">
        <v>103</v>
      </c>
      <c r="E6" s="10" t="n">
        <f aca="false">B6*C6</f>
        <v>1440</v>
      </c>
    </row>
    <row r="7" customFormat="false" ht="15" hidden="false" customHeight="false" outlineLevel="0" collapsed="false">
      <c r="A7" s="10" t="s">
        <v>107</v>
      </c>
      <c r="B7" s="5" t="n">
        <v>1</v>
      </c>
      <c r="C7" s="5" t="n">
        <v>2800</v>
      </c>
      <c r="D7" s="10" t="s">
        <v>103</v>
      </c>
      <c r="E7" s="10" t="n">
        <f aca="false">B7*C7</f>
        <v>2800</v>
      </c>
    </row>
    <row r="8" customFormat="false" ht="15" hidden="false" customHeight="false" outlineLevel="0" collapsed="false">
      <c r="A8" s="10" t="s">
        <v>108</v>
      </c>
      <c r="B8" s="5" t="n">
        <v>1</v>
      </c>
      <c r="C8" s="5" t="n">
        <v>350</v>
      </c>
      <c r="D8" s="10" t="s">
        <v>103</v>
      </c>
      <c r="E8" s="10" t="n">
        <f aca="false">B8*C8</f>
        <v>350</v>
      </c>
    </row>
    <row r="9" customFormat="false" ht="15" hidden="false" customHeight="false" outlineLevel="0" collapsed="false">
      <c r="A9" s="10" t="s">
        <v>109</v>
      </c>
      <c r="B9" s="5" t="n">
        <v>4</v>
      </c>
      <c r="C9" s="5" t="n">
        <v>260</v>
      </c>
      <c r="D9" s="10" t="s">
        <v>103</v>
      </c>
      <c r="E9" s="10" t="n">
        <f aca="false">B9*C9</f>
        <v>1040</v>
      </c>
    </row>
    <row r="10" customFormat="false" ht="15" hidden="false" customHeight="false" outlineLevel="0" collapsed="false">
      <c r="A10" s="10" t="s">
        <v>110</v>
      </c>
      <c r="B10" s="5" t="n">
        <v>8</v>
      </c>
      <c r="C10" s="5" t="n">
        <v>25</v>
      </c>
      <c r="D10" s="10" t="s">
        <v>103</v>
      </c>
      <c r="E10" s="10" t="n">
        <f aca="false">B10*C10</f>
        <v>200</v>
      </c>
    </row>
    <row r="11" customFormat="false" ht="15" hidden="false" customHeight="false" outlineLevel="0" collapsed="false">
      <c r="A11" s="10" t="s">
        <v>111</v>
      </c>
      <c r="B11" s="5" t="n">
        <v>1</v>
      </c>
      <c r="C11" s="5" t="n">
        <v>4500</v>
      </c>
      <c r="D11" s="10" t="s">
        <v>103</v>
      </c>
      <c r="E11" s="10" t="n">
        <f aca="false">B11*C11</f>
        <v>4500</v>
      </c>
    </row>
    <row r="12" customFormat="false" ht="15" hidden="false" customHeight="false" outlineLevel="0" collapsed="false">
      <c r="A12" s="10" t="s">
        <v>112</v>
      </c>
      <c r="B12" s="5" t="n">
        <v>1</v>
      </c>
      <c r="C12" s="5" t="n">
        <v>1500</v>
      </c>
      <c r="D12" s="10" t="s">
        <v>103</v>
      </c>
      <c r="E12" s="10" t="n">
        <f aca="false">B12*C12</f>
        <v>1500</v>
      </c>
    </row>
    <row r="13" customFormat="false" ht="15" hidden="false" customHeight="false" outlineLevel="0" collapsed="false">
      <c r="A13" s="10" t="s">
        <v>113</v>
      </c>
      <c r="B13" s="5" t="n">
        <v>1</v>
      </c>
      <c r="C13" s="5" t="n">
        <v>3000</v>
      </c>
      <c r="D13" s="10" t="s">
        <v>103</v>
      </c>
      <c r="E13" s="10" t="n">
        <f aca="false">B13*C13</f>
        <v>3000</v>
      </c>
    </row>
    <row r="14" customFormat="false" ht="15" hidden="false" customHeight="false" outlineLevel="0" collapsed="false">
      <c r="A14" s="10" t="s">
        <v>114</v>
      </c>
      <c r="B14" s="5" t="n">
        <v>1</v>
      </c>
      <c r="C14" s="5" t="n">
        <v>1200</v>
      </c>
      <c r="D14" s="10" t="s">
        <v>103</v>
      </c>
      <c r="E14" s="10" t="n">
        <f aca="false">B14*C14</f>
        <v>1200</v>
      </c>
    </row>
    <row r="15" customFormat="false" ht="15" hidden="false" customHeight="false" outlineLevel="0" collapsed="false">
      <c r="A15" s="10" t="s">
        <v>115</v>
      </c>
      <c r="B15" s="5" t="n">
        <v>1</v>
      </c>
      <c r="C15" s="5" t="n">
        <v>900</v>
      </c>
      <c r="D15" s="10" t="s">
        <v>103</v>
      </c>
      <c r="E15" s="10" t="n">
        <f aca="false">B15*C15</f>
        <v>900</v>
      </c>
    </row>
    <row r="16" customFormat="false" ht="15" hidden="false" customHeight="false" outlineLevel="0" collapsed="false">
      <c r="A16" s="10" t="s">
        <v>116</v>
      </c>
      <c r="B16" s="5" t="n">
        <v>1</v>
      </c>
      <c r="C16" s="5" t="n">
        <v>4000</v>
      </c>
      <c r="D16" s="10" t="s">
        <v>103</v>
      </c>
      <c r="E16" s="10" t="n">
        <f aca="false">B16*C16</f>
        <v>4000</v>
      </c>
    </row>
    <row r="17" customFormat="false" ht="15" hidden="false" customHeight="false" outlineLevel="0" collapsed="false">
      <c r="A17" s="11" t="s">
        <v>117</v>
      </c>
      <c r="B17" s="12"/>
      <c r="C17" s="12"/>
      <c r="D17" s="12"/>
      <c r="E17" s="11" t="n">
        <f aca="false">SUM(E3:E16)</f>
        <v>30990</v>
      </c>
    </row>
    <row r="18" customFormat="false" ht="15" hidden="false" customHeight="false" outlineLevel="0" collapsed="false">
      <c r="A18" s="10" t="s">
        <v>118</v>
      </c>
      <c r="B18" s="10" t="n">
        <v>1</v>
      </c>
      <c r="C18" s="10" t="n">
        <f aca="false">E17*0.1</f>
        <v>3099</v>
      </c>
      <c r="D18" s="10" t="s">
        <v>103</v>
      </c>
      <c r="E18" s="10" t="n">
        <f aca="false">C18</f>
        <v>3099</v>
      </c>
    </row>
    <row r="19" customFormat="false" ht="15" hidden="false" customHeight="false" outlineLevel="0" collapsed="false">
      <c r="A19" s="13" t="s">
        <v>119</v>
      </c>
      <c r="B19" s="12"/>
      <c r="C19" s="12"/>
      <c r="D19" s="12"/>
      <c r="E19" s="13" t="n">
        <f aca="false">E17+E18</f>
        <v>34089</v>
      </c>
    </row>
    <row r="21" customFormat="false" ht="15" hidden="false" customHeight="false" outlineLevel="0" collapsed="false">
      <c r="A21" s="8" t="s">
        <v>120</v>
      </c>
      <c r="B21" s="8"/>
      <c r="C21" s="8"/>
      <c r="D21" s="8"/>
      <c r="E21" s="8"/>
    </row>
  </sheetData>
  <mergeCells count="2">
    <mergeCell ref="A1:E1"/>
    <mergeCell ref="A21:E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2026-07-06T04:42:25Z</dcterms:created>
  <dc:creator>openpyxl</dc:creator>
  <dc:description/>
  <dc:language>en-US</dc:language>
  <cp:lastModifiedBy/>
  <dcterms:modified xsi:type="dcterms:W3CDTF">2026-07-06T04:42:25Z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